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workbookProtection lockStructure="1"/>
  <bookViews>
    <workbookView xWindow="0" yWindow="0" windowWidth="19200" windowHeight="10860"/>
  </bookViews>
  <sheets>
    <sheet name="Calculadora" sheetId="9" r:id="rId1"/>
    <sheet name="T" sheetId="3" state="hidden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9"/>
  <c r="B23"/>
  <c r="F15"/>
  <c r="F14"/>
  <c r="F13"/>
  <c r="F18"/>
  <c r="F17"/>
  <c r="F16"/>
  <c r="E47" i="3"/>
  <c r="E39"/>
  <c r="E21"/>
  <c r="E13"/>
  <c r="E5"/>
  <c r="F46"/>
  <c r="E46"/>
  <c r="I45"/>
  <c r="H45"/>
  <c r="I44"/>
  <c r="H44"/>
  <c r="F38"/>
  <c r="E38"/>
  <c r="I37"/>
  <c r="H37"/>
  <c r="I36"/>
  <c r="H36"/>
  <c r="H38" s="1"/>
  <c r="J19"/>
  <c r="J10"/>
  <c r="F20"/>
  <c r="E20"/>
  <c r="I19"/>
  <c r="H19"/>
  <c r="I18"/>
  <c r="H18"/>
  <c r="H20" s="1"/>
  <c r="F12"/>
  <c r="E12"/>
  <c r="I11"/>
  <c r="J11" s="1"/>
  <c r="H11"/>
  <c r="I10"/>
  <c r="H10"/>
  <c r="H13" s="1"/>
  <c r="I3"/>
  <c r="I2"/>
  <c r="I5" s="1"/>
  <c r="F4"/>
  <c r="J18" l="1"/>
  <c r="I4"/>
  <c r="S18"/>
  <c r="G19" i="9" s="1"/>
  <c r="F22"/>
  <c r="G21" s="1"/>
  <c r="C28" i="3"/>
  <c r="F28"/>
  <c r="C27"/>
  <c r="F27"/>
  <c r="I47"/>
  <c r="H47"/>
  <c r="H46"/>
  <c r="I46"/>
  <c r="I39"/>
  <c r="H39"/>
  <c r="J37"/>
  <c r="J36"/>
  <c r="I38"/>
  <c r="J38" s="1"/>
  <c r="E28"/>
  <c r="D28"/>
  <c r="D27"/>
  <c r="E27"/>
  <c r="I21"/>
  <c r="I13"/>
  <c r="I20"/>
  <c r="J20" s="1"/>
  <c r="H21"/>
  <c r="H12"/>
  <c r="I12"/>
  <c r="J12" l="1"/>
  <c r="G20" i="9"/>
  <c r="G23" s="1"/>
  <c r="F24" s="1"/>
  <c r="C29" i="3"/>
  <c r="F29"/>
  <c r="E29"/>
  <c r="D29"/>
  <c r="B28" l="1"/>
  <c r="E4"/>
  <c r="H3"/>
  <c r="J3" s="1"/>
  <c r="H2"/>
  <c r="H5" l="1"/>
  <c r="J2"/>
  <c r="B27"/>
  <c r="B29" s="1"/>
  <c r="H4"/>
  <c r="J4" s="1"/>
</calcChain>
</file>

<file path=xl/sharedStrings.xml><?xml version="1.0" encoding="utf-8"?>
<sst xmlns="http://schemas.openxmlformats.org/spreadsheetml/2006/main" count="125" uniqueCount="59">
  <si>
    <t>Sueldo reglamentario</t>
  </si>
  <si>
    <t>IRPF</t>
  </si>
  <si>
    <t>plus convenio anual</t>
  </si>
  <si>
    <t>total</t>
  </si>
  <si>
    <t>plus convenio 14 pagas</t>
  </si>
  <si>
    <t>antigüedad 14 pagas</t>
  </si>
  <si>
    <t>Plus presencial</t>
  </si>
  <si>
    <t>Sueldo Reglamentario anual</t>
  </si>
  <si>
    <t>Sueldo Reglamentario 14 pagas</t>
  </si>
  <si>
    <t>Complemento teletrabajo</t>
  </si>
  <si>
    <t>Líquido a percibir</t>
  </si>
  <si>
    <t>Total devengado (salario bruto)</t>
  </si>
  <si>
    <t>Total a deducir (IRPF Y SS)</t>
  </si>
  <si>
    <t>Número de trienios</t>
  </si>
  <si>
    <t>CVP o Complemento Empresa</t>
  </si>
  <si>
    <t>Paga extra 6 meses</t>
  </si>
  <si>
    <t>Plus Convenio</t>
  </si>
  <si>
    <t>Antigüedad</t>
  </si>
  <si>
    <t>Abonos</t>
  </si>
  <si>
    <t>Deducciones</t>
  </si>
  <si>
    <t>Cotización desempleo (1,65%)</t>
  </si>
  <si>
    <t>Cotización contingencias comunes (4,82 %)</t>
  </si>
  <si>
    <t>Prorrata</t>
  </si>
  <si>
    <t>Base mensual</t>
  </si>
  <si>
    <t>Base cotización desempleo y contingencias comunes</t>
  </si>
  <si>
    <t>Porcentaje Cotiz. Desempleo</t>
  </si>
  <si>
    <t>Porcentaje Cotiz. Contingencias</t>
  </si>
  <si>
    <t>Complemento Voluntario Personal o Complemento Empresa</t>
  </si>
  <si>
    <t>2024 nuevo SMI</t>
  </si>
  <si>
    <t>D2</t>
  </si>
  <si>
    <t>C3</t>
  </si>
  <si>
    <t>C2</t>
  </si>
  <si>
    <t>Horas reducidas</t>
  </si>
  <si>
    <t>Coeficiente</t>
  </si>
  <si>
    <t>C1</t>
  </si>
  <si>
    <t>D1</t>
  </si>
  <si>
    <t>BASES DE COTIZACIÓN Y PRORRATA</t>
  </si>
  <si>
    <t>Antigüedad anual (por trienio)</t>
  </si>
  <si>
    <t>INTRODUCE TUS DATOS</t>
  </si>
  <si>
    <t>RESULTADO DE TÚ NÓMINA</t>
  </si>
  <si>
    <t>Días en oficina</t>
  </si>
  <si>
    <t>Días de teletrabajo</t>
  </si>
  <si>
    <t>CATEGORÍA</t>
  </si>
  <si>
    <t>CATEGORIA</t>
  </si>
  <si>
    <t>REDUCCIÓN</t>
  </si>
  <si>
    <t>Plus convenio</t>
  </si>
  <si>
    <t>Salario anual</t>
  </si>
  <si>
    <t>Trienio anual</t>
  </si>
  <si>
    <t>Jornada completa</t>
  </si>
  <si>
    <t>1 hora de reducción</t>
  </si>
  <si>
    <t>1,5 horas de reducción</t>
  </si>
  <si>
    <t>2 horas de reducción</t>
  </si>
  <si>
    <t>2,5 horas de reducción</t>
  </si>
  <si>
    <t>3 horas de reducción</t>
  </si>
  <si>
    <t>4 horas de reducción</t>
  </si>
  <si>
    <t>Jornada laboral</t>
  </si>
  <si>
    <t>Categoría</t>
  </si>
  <si>
    <t>SALARIO BRUTO ANUAL SIN REDUCCIÓN</t>
  </si>
  <si>
    <t>SALARIO BRUTO ANUAL CON REDUCCIÓN</t>
  </si>
</sst>
</file>

<file path=xl/styles.xml><?xml version="1.0" encoding="utf-8"?>
<styleSheet xmlns="http://schemas.openxmlformats.org/spreadsheetml/2006/main">
  <numFmts count="1">
    <numFmt numFmtId="164" formatCode="0.00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0" fillId="0" borderId="7" xfId="0" applyBorder="1"/>
    <xf numFmtId="0" fontId="0" fillId="0" borderId="5" xfId="0" applyBorder="1"/>
    <xf numFmtId="0" fontId="0" fillId="9" borderId="9" xfId="0" applyFill="1" applyBorder="1"/>
    <xf numFmtId="0" fontId="0" fillId="8" borderId="10" xfId="0" applyFill="1" applyBorder="1"/>
    <xf numFmtId="0" fontId="0" fillId="9" borderId="11" xfId="0" applyFill="1" applyBorder="1"/>
    <xf numFmtId="0" fontId="0" fillId="0" borderId="2" xfId="0" applyBorder="1"/>
    <xf numFmtId="0" fontId="0" fillId="0" borderId="4" xfId="0" applyBorder="1"/>
    <xf numFmtId="2" fontId="0" fillId="0" borderId="0" xfId="0" applyNumberFormat="1" applyBorder="1"/>
    <xf numFmtId="0" fontId="0" fillId="0" borderId="4" xfId="0" applyBorder="1" applyAlignment="1">
      <alignment horizontal="left" vertical="center" wrapText="1"/>
    </xf>
    <xf numFmtId="164" fontId="0" fillId="0" borderId="0" xfId="0" applyNumberFormat="1" applyBorder="1"/>
    <xf numFmtId="0" fontId="0" fillId="0" borderId="6" xfId="0" applyBorder="1"/>
    <xf numFmtId="164" fontId="0" fillId="0" borderId="7" xfId="0" applyNumberFormat="1" applyBorder="1"/>
    <xf numFmtId="164" fontId="1" fillId="0" borderId="12" xfId="0" applyNumberFormat="1" applyFont="1" applyBorder="1"/>
    <xf numFmtId="164" fontId="1" fillId="0" borderId="13" xfId="0" applyNumberFormat="1" applyFont="1" applyBorder="1"/>
    <xf numFmtId="0" fontId="0" fillId="0" borderId="0" xfId="0" applyFill="1" applyBorder="1"/>
    <xf numFmtId="0" fontId="0" fillId="7" borderId="16" xfId="0" applyFont="1" applyFill="1" applyBorder="1"/>
    <xf numFmtId="0" fontId="0" fillId="7" borderId="16" xfId="0" applyFont="1" applyFill="1" applyBorder="1" applyAlignment="1">
      <alignment vertical="center" wrapText="1"/>
    </xf>
    <xf numFmtId="0" fontId="0" fillId="7" borderId="18" xfId="0" applyFont="1" applyFill="1" applyBorder="1"/>
    <xf numFmtId="0" fontId="0" fillId="10" borderId="0" xfId="0" applyFill="1" applyBorder="1"/>
    <xf numFmtId="0" fontId="0" fillId="11" borderId="0" xfId="0" applyFill="1"/>
    <xf numFmtId="0" fontId="0" fillId="11" borderId="16" xfId="0" applyFill="1" applyBorder="1"/>
    <xf numFmtId="0" fontId="0" fillId="11" borderId="17" xfId="0" applyFill="1" applyBorder="1"/>
    <xf numFmtId="0" fontId="0" fillId="3" borderId="16" xfId="0" applyFill="1" applyBorder="1"/>
    <xf numFmtId="0" fontId="0" fillId="4" borderId="17" xfId="0" applyFill="1" applyBorder="1" applyAlignment="1">
      <alignment horizontal="right"/>
    </xf>
    <xf numFmtId="0" fontId="0" fillId="4" borderId="17" xfId="0" applyFill="1" applyBorder="1" applyAlignment="1">
      <alignment horizontal="right" wrapText="1"/>
    </xf>
    <xf numFmtId="0" fontId="0" fillId="11" borderId="17" xfId="0" applyFill="1" applyBorder="1" applyAlignment="1">
      <alignment horizontal="right"/>
    </xf>
    <xf numFmtId="0" fontId="0" fillId="11" borderId="18" xfId="0" applyFill="1" applyBorder="1"/>
    <xf numFmtId="0" fontId="1" fillId="5" borderId="16" xfId="0" applyFont="1" applyFill="1" applyBorder="1"/>
    <xf numFmtId="0" fontId="1" fillId="6" borderId="19" xfId="0" applyFont="1" applyFill="1" applyBorder="1" applyAlignment="1">
      <alignment horizontal="right"/>
    </xf>
    <xf numFmtId="0" fontId="4" fillId="14" borderId="20" xfId="0" applyFont="1" applyFill="1" applyBorder="1" applyAlignment="1">
      <alignment horizontal="center"/>
    </xf>
    <xf numFmtId="0" fontId="1" fillId="6" borderId="22" xfId="0" applyFont="1" applyFill="1" applyBorder="1" applyAlignment="1">
      <alignment horizontal="center" vertical="center"/>
    </xf>
    <xf numFmtId="0" fontId="0" fillId="11" borderId="23" xfId="0" applyFill="1" applyBorder="1"/>
    <xf numFmtId="0" fontId="0" fillId="11" borderId="22" xfId="0" applyFill="1" applyBorder="1"/>
    <xf numFmtId="0" fontId="1" fillId="5" borderId="23" xfId="0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10" fontId="0" fillId="2" borderId="17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3" xfId="0" applyFill="1" applyBorder="1"/>
    <xf numFmtId="2" fontId="0" fillId="0" borderId="0" xfId="0" applyNumberFormat="1"/>
    <xf numFmtId="0" fontId="0" fillId="2" borderId="17" xfId="0" applyFill="1" applyBorder="1" applyAlignment="1" applyProtection="1">
      <alignment horizontal="right"/>
      <protection locked="0"/>
    </xf>
    <xf numFmtId="2" fontId="0" fillId="11" borderId="17" xfId="0" applyNumberFormat="1" applyFill="1" applyBorder="1" applyProtection="1">
      <protection hidden="1"/>
    </xf>
    <xf numFmtId="2" fontId="0" fillId="11" borderId="16" xfId="0" applyNumberFormat="1" applyFill="1" applyBorder="1" applyProtection="1">
      <protection hidden="1"/>
    </xf>
    <xf numFmtId="2" fontId="0" fillId="11" borderId="19" xfId="0" applyNumberFormat="1" applyFill="1" applyBorder="1" applyProtection="1">
      <protection hidden="1"/>
    </xf>
    <xf numFmtId="2" fontId="0" fillId="11" borderId="18" xfId="0" applyNumberFormat="1" applyFill="1" applyBorder="1" applyProtection="1">
      <protection hidden="1"/>
    </xf>
    <xf numFmtId="2" fontId="4" fillId="14" borderId="21" xfId="0" applyNumberFormat="1" applyFont="1" applyFill="1" applyBorder="1" applyAlignment="1" applyProtection="1">
      <alignment horizontal="center"/>
      <protection hidden="1"/>
    </xf>
    <xf numFmtId="0" fontId="0" fillId="11" borderId="0" xfId="0" applyFill="1" applyProtection="1">
      <protection hidden="1"/>
    </xf>
    <xf numFmtId="2" fontId="4" fillId="13" borderId="6" xfId="0" applyNumberFormat="1" applyFont="1" applyFill="1" applyBorder="1" applyAlignment="1" applyProtection="1">
      <alignment horizontal="left" vertical="center"/>
      <protection hidden="1"/>
    </xf>
    <xf numFmtId="2" fontId="4" fillId="13" borderId="5" xfId="0" applyNumberFormat="1" applyFont="1" applyFill="1" applyBorder="1" applyAlignment="1" applyProtection="1">
      <alignment horizontal="left" vertical="center"/>
      <protection hidden="1"/>
    </xf>
    <xf numFmtId="0" fontId="1" fillId="11" borderId="14" xfId="0" applyFont="1" applyFill="1" applyBorder="1" applyAlignment="1">
      <alignment horizontal="center"/>
    </xf>
    <xf numFmtId="0" fontId="1" fillId="11" borderId="15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left" vertical="center" wrapText="1"/>
    </xf>
    <xf numFmtId="0" fontId="4" fillId="12" borderId="3" xfId="0" applyFont="1" applyFill="1" applyBorder="1" applyAlignment="1">
      <alignment horizontal="left" vertical="center" wrapText="1"/>
    </xf>
    <xf numFmtId="0" fontId="4" fillId="12" borderId="2" xfId="0" applyFont="1" applyFill="1" applyBorder="1" applyAlignment="1">
      <alignment horizontal="left" vertical="center"/>
    </xf>
    <xf numFmtId="0" fontId="4" fillId="12" borderId="3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142877</xdr:rowOff>
    </xdr:from>
    <xdr:to>
      <xdr:col>7</xdr:col>
      <xdr:colOff>876301</xdr:colOff>
      <xdr:row>9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6D8F8AB-265C-445A-B494-0ED754B5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6" y="142877"/>
          <a:ext cx="8115300" cy="2019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6"/>
  <sheetViews>
    <sheetView tabSelected="1" topLeftCell="A19" workbookViewId="0">
      <selection activeCell="F23" sqref="F23"/>
    </sheetView>
  </sheetViews>
  <sheetFormatPr baseColWidth="10" defaultRowHeight="15"/>
  <cols>
    <col min="1" max="1" width="7.28515625" style="24" customWidth="1"/>
    <col min="2" max="2" width="31.140625" style="24" customWidth="1"/>
    <col min="3" max="3" width="20.85546875" style="24" bestFit="1" customWidth="1"/>
    <col min="4" max="4" width="5.7109375" style="24" customWidth="1"/>
    <col min="5" max="5" width="29.140625" style="24" bestFit="1" customWidth="1"/>
    <col min="6" max="7" width="12.140625" style="24" customWidth="1"/>
    <col min="8" max="8" width="28" style="24" bestFit="1" customWidth="1"/>
    <col min="9" max="16384" width="11.42578125" style="24"/>
  </cols>
  <sheetData>
    <row r="1" spans="2:8">
      <c r="B1" s="23"/>
      <c r="C1" s="23"/>
      <c r="D1" s="23"/>
      <c r="E1" s="23"/>
      <c r="F1" s="23"/>
      <c r="G1" s="23"/>
      <c r="H1" s="23"/>
    </row>
    <row r="2" spans="2:8">
      <c r="B2" s="23"/>
      <c r="C2" s="23"/>
      <c r="D2" s="23"/>
      <c r="E2" s="23"/>
      <c r="F2" s="23"/>
      <c r="G2" s="23"/>
      <c r="H2" s="23"/>
    </row>
    <row r="3" spans="2:8">
      <c r="B3" s="23"/>
      <c r="C3" s="23"/>
      <c r="D3" s="23"/>
      <c r="E3" s="23"/>
      <c r="F3" s="23"/>
      <c r="G3" s="23"/>
      <c r="H3" s="23"/>
    </row>
    <row r="4" spans="2:8" ht="39" customHeight="1">
      <c r="B4" s="23"/>
      <c r="C4" s="23"/>
      <c r="D4" s="23"/>
      <c r="E4" s="23"/>
      <c r="F4" s="23"/>
      <c r="G4" s="23"/>
      <c r="H4" s="23"/>
    </row>
    <row r="5" spans="2:8">
      <c r="B5" s="23"/>
      <c r="C5" s="23"/>
      <c r="D5" s="23"/>
      <c r="E5" s="23"/>
      <c r="F5" s="23"/>
      <c r="G5" s="23"/>
      <c r="H5" s="23"/>
    </row>
    <row r="6" spans="2:8">
      <c r="B6" s="23"/>
      <c r="C6" s="23"/>
      <c r="D6" s="23"/>
      <c r="E6" s="23"/>
      <c r="F6" s="23"/>
      <c r="G6" s="23"/>
      <c r="H6" s="23"/>
    </row>
    <row r="10" spans="2:8" ht="29.25" customHeight="1" thickBot="1"/>
    <row r="11" spans="2:8" ht="15.75" thickBot="1">
      <c r="B11" s="54" t="s">
        <v>38</v>
      </c>
      <c r="C11" s="55"/>
      <c r="E11" s="56" t="s">
        <v>39</v>
      </c>
      <c r="F11" s="57"/>
      <c r="G11" s="57"/>
      <c r="H11" s="58"/>
    </row>
    <row r="12" spans="2:8" ht="15.75" customHeight="1">
      <c r="B12" s="20" t="s">
        <v>13</v>
      </c>
      <c r="C12" s="39">
        <v>0</v>
      </c>
      <c r="E12" s="37"/>
      <c r="F12" s="38" t="s">
        <v>18</v>
      </c>
      <c r="G12" s="35" t="s">
        <v>19</v>
      </c>
      <c r="H12" s="36"/>
    </row>
    <row r="13" spans="2:8" ht="37.5" customHeight="1">
      <c r="B13" s="21" t="s">
        <v>27</v>
      </c>
      <c r="C13" s="39">
        <v>0</v>
      </c>
      <c r="E13" s="27" t="s">
        <v>0</v>
      </c>
      <c r="F13" s="46">
        <f>VLOOKUP($C$17,T!$M$3:$N$10,2)*VLOOKUP(C18,T!M14:P18,2)</f>
        <v>981.57928571428579</v>
      </c>
      <c r="G13" s="47"/>
      <c r="H13" s="26"/>
    </row>
    <row r="14" spans="2:8" ht="15.75" customHeight="1">
      <c r="B14" s="20" t="s">
        <v>40</v>
      </c>
      <c r="C14" s="39">
        <v>0</v>
      </c>
      <c r="E14" s="27" t="s">
        <v>16</v>
      </c>
      <c r="F14" s="46">
        <f>VLOOKUP($C$17,T!$M$3:$N$10,2)*VLOOKUP(C18,T!M14:P18,3)</f>
        <v>169.56357142857141</v>
      </c>
      <c r="G14" s="47"/>
      <c r="H14" s="26"/>
    </row>
    <row r="15" spans="2:8" ht="15.75" customHeight="1">
      <c r="B15" s="20" t="s">
        <v>41</v>
      </c>
      <c r="C15" s="39">
        <v>0</v>
      </c>
      <c r="E15" s="27" t="s">
        <v>17</v>
      </c>
      <c r="F15" s="46">
        <f>VLOOKUP($C$17,T!$M$3:$N$10,2)*C12*VLOOKUP(C18,T!M14:P18,4)</f>
        <v>0</v>
      </c>
      <c r="G15" s="47"/>
      <c r="H15" s="26"/>
    </row>
    <row r="16" spans="2:8" ht="15.75" customHeight="1">
      <c r="B16" s="20" t="s">
        <v>1</v>
      </c>
      <c r="C16" s="40">
        <v>0</v>
      </c>
      <c r="E16" s="27" t="s">
        <v>6</v>
      </c>
      <c r="F16" s="46">
        <f>T!E7*$C$14</f>
        <v>0</v>
      </c>
      <c r="G16" s="47"/>
      <c r="H16" s="26"/>
    </row>
    <row r="17" spans="2:8">
      <c r="B17" s="20" t="s">
        <v>55</v>
      </c>
      <c r="C17" s="45" t="s">
        <v>48</v>
      </c>
      <c r="E17" s="27" t="s">
        <v>9</v>
      </c>
      <c r="F17" s="46">
        <f>$C$15*T!$E$8*VLOOKUP($C$17,T!$M$3:$N$10,2)</f>
        <v>0</v>
      </c>
      <c r="G17" s="47"/>
      <c r="H17" s="26"/>
    </row>
    <row r="18" spans="2:8" ht="15.75" thickBot="1">
      <c r="B18" s="22" t="s">
        <v>56</v>
      </c>
      <c r="C18" s="41" t="s">
        <v>29</v>
      </c>
      <c r="E18" s="27" t="s">
        <v>14</v>
      </c>
      <c r="F18" s="46">
        <f>C13*VLOOKUP($C$17,T!$M$3:$N$10,2)</f>
        <v>0</v>
      </c>
      <c r="G18" s="47"/>
      <c r="H18" s="26"/>
    </row>
    <row r="19" spans="2:8">
      <c r="E19" s="25"/>
      <c r="F19" s="46"/>
      <c r="G19" s="47">
        <f>(SUM(F13:F16)+F18+T!S18)*T!B31</f>
        <v>22.159500000000001</v>
      </c>
      <c r="H19" s="28" t="s">
        <v>20</v>
      </c>
    </row>
    <row r="20" spans="2:8" ht="30">
      <c r="E20" s="25"/>
      <c r="F20" s="46"/>
      <c r="G20" s="47">
        <f>(SUM(F13:F16)+F18+T!S18)*T!B32</f>
        <v>64.732600000000005</v>
      </c>
      <c r="H20" s="29" t="s">
        <v>21</v>
      </c>
    </row>
    <row r="21" spans="2:8" ht="15.75" thickBot="1">
      <c r="E21" s="25"/>
      <c r="F21" s="46"/>
      <c r="G21" s="47">
        <f>F22*C16</f>
        <v>0</v>
      </c>
      <c r="H21" s="28" t="s">
        <v>1</v>
      </c>
    </row>
    <row r="22" spans="2:8" ht="15.75">
      <c r="B22" s="59" t="s">
        <v>57</v>
      </c>
      <c r="C22" s="60"/>
      <c r="E22" s="32" t="s">
        <v>11</v>
      </c>
      <c r="F22" s="46">
        <f>SUM(F13:F18)</f>
        <v>1151.1428571428571</v>
      </c>
      <c r="G22" s="47"/>
      <c r="H22" s="30"/>
    </row>
    <row r="23" spans="2:8" ht="16.5" thickBot="1">
      <c r="B23" s="52">
        <f>(VLOOKUP(C18,T!M14:R18,5)+C12*VLOOKUP(C18,T!M14:R18,6))+C13*12</f>
        <v>16116</v>
      </c>
      <c r="C23" s="53"/>
      <c r="E23" s="31"/>
      <c r="F23" s="48"/>
      <c r="G23" s="49">
        <f>SUM(G19:G21)</f>
        <v>86.892099999999999</v>
      </c>
      <c r="H23" s="33" t="s">
        <v>12</v>
      </c>
    </row>
    <row r="24" spans="2:8" ht="16.5" thickBot="1">
      <c r="E24" s="34" t="s">
        <v>10</v>
      </c>
      <c r="F24" s="50">
        <f>F22-G23</f>
        <v>1064.2507571428571</v>
      </c>
      <c r="G24" s="51"/>
    </row>
    <row r="25" spans="2:8" ht="15.75">
      <c r="B25" s="61" t="s">
        <v>58</v>
      </c>
      <c r="C25" s="62"/>
    </row>
    <row r="26" spans="2:8" ht="16.5" thickBot="1">
      <c r="B26" s="52">
        <f>VLOOKUP($C$17,T!$M$23:$N$30,2)*(VLOOKUP(C18,T!M14:R18,5)+C12*VLOOKUP(C18,T!M14:R18,6))+C13*12</f>
        <v>0</v>
      </c>
      <c r="C26" s="53"/>
    </row>
  </sheetData>
  <sheetProtection sheet="1" objects="1" scenarios="1"/>
  <mergeCells count="6">
    <mergeCell ref="B26:C26"/>
    <mergeCell ref="B11:C11"/>
    <mergeCell ref="E11:H11"/>
    <mergeCell ref="B22:C22"/>
    <mergeCell ref="B23:C23"/>
    <mergeCell ref="B25:C25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T!$M$4:$M$10</xm:f>
          </x14:formula1>
          <xm:sqref>C17</xm:sqref>
        </x14:dataValidation>
        <x14:dataValidation type="list" allowBlank="1" showInputMessage="1" showErrorMessage="1">
          <x14:formula1>
            <xm:f>T!$M$14:$M$18</xm:f>
          </x14:formula1>
          <xm:sqref>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T50"/>
  <sheetViews>
    <sheetView workbookViewId="0">
      <selection activeCell="N30" sqref="N30"/>
    </sheetView>
  </sheetViews>
  <sheetFormatPr baseColWidth="10" defaultRowHeight="15"/>
  <cols>
    <col min="1" max="1" width="27.7109375" customWidth="1"/>
    <col min="2" max="2" width="11.42578125" customWidth="1"/>
    <col min="3" max="3" width="12.7109375" customWidth="1"/>
    <col min="4" max="4" width="28" customWidth="1"/>
    <col min="5" max="5" width="14.7109375" customWidth="1"/>
    <col min="6" max="6" width="10.42578125" customWidth="1"/>
    <col min="7" max="7" width="28.85546875" customWidth="1"/>
    <col min="8" max="8" width="14.7109375" customWidth="1"/>
    <col min="9" max="9" width="9.7109375" customWidth="1"/>
    <col min="10" max="12" width="11.42578125" customWidth="1"/>
    <col min="13" max="13" width="18.42578125" bestFit="1" customWidth="1"/>
    <col min="14" max="15" width="11.42578125" customWidth="1"/>
    <col min="17" max="17" width="27" bestFit="1" customWidth="1"/>
    <col min="18" max="18" width="12.5703125" bestFit="1" customWidth="1"/>
  </cols>
  <sheetData>
    <row r="1" spans="1:20" ht="15.75" thickBot="1">
      <c r="E1" s="8" t="s">
        <v>28</v>
      </c>
      <c r="F1">
        <v>2024</v>
      </c>
      <c r="H1" s="8" t="s">
        <v>28</v>
      </c>
      <c r="I1">
        <v>2024</v>
      </c>
    </row>
    <row r="2" spans="1:20" ht="15.75" thickBot="1">
      <c r="A2" s="66" t="s">
        <v>29</v>
      </c>
      <c r="B2" s="67"/>
      <c r="C2" s="1"/>
      <c r="D2" s="1" t="s">
        <v>7</v>
      </c>
      <c r="E2" s="9">
        <v>13742.11</v>
      </c>
      <c r="F2" s="1">
        <v>13360.17</v>
      </c>
      <c r="G2" s="1" t="s">
        <v>8</v>
      </c>
      <c r="H2" s="1">
        <f>E2/14</f>
        <v>981.57928571428579</v>
      </c>
      <c r="I2" s="2">
        <f>F2/14</f>
        <v>954.2978571428572</v>
      </c>
      <c r="J2">
        <f>H2-I2</f>
        <v>27.281428571428592</v>
      </c>
    </row>
    <row r="3" spans="1:20">
      <c r="A3" s="68"/>
      <c r="B3" s="69"/>
      <c r="C3" s="3"/>
      <c r="D3" s="3" t="s">
        <v>2</v>
      </c>
      <c r="E3" s="7">
        <v>2373.89</v>
      </c>
      <c r="F3" s="3">
        <v>2307.0300000000002</v>
      </c>
      <c r="G3" s="3" t="s">
        <v>4</v>
      </c>
      <c r="H3" s="3">
        <f>E3/14</f>
        <v>169.56357142857141</v>
      </c>
      <c r="I3" s="4">
        <f>F3/14</f>
        <v>164.78785714285715</v>
      </c>
      <c r="J3">
        <f t="shared" ref="J3:J20" si="0">H3-I3</f>
        <v>4.7757142857142583</v>
      </c>
      <c r="L3" s="63" t="s">
        <v>44</v>
      </c>
      <c r="M3" s="1" t="s">
        <v>32</v>
      </c>
      <c r="N3" s="2" t="s">
        <v>33</v>
      </c>
    </row>
    <row r="4" spans="1:20">
      <c r="A4" s="68"/>
      <c r="B4" s="69"/>
      <c r="C4" s="3"/>
      <c r="D4" s="3" t="s">
        <v>3</v>
      </c>
      <c r="E4" s="7">
        <f>SUM(E2:E3)</f>
        <v>16116</v>
      </c>
      <c r="F4" s="3">
        <f>SUM(F2:F3)</f>
        <v>15667.2</v>
      </c>
      <c r="G4" s="3" t="s">
        <v>5</v>
      </c>
      <c r="H4" s="3">
        <f>H2*0.05</f>
        <v>49.078964285714292</v>
      </c>
      <c r="I4" s="4">
        <f>I2*0.05</f>
        <v>47.714892857142864</v>
      </c>
      <c r="J4">
        <f t="shared" si="0"/>
        <v>1.3640714285714282</v>
      </c>
      <c r="L4" s="64"/>
      <c r="M4" s="3" t="s">
        <v>49</v>
      </c>
      <c r="N4" s="4">
        <v>0.87570999999999999</v>
      </c>
      <c r="Q4" s="11"/>
    </row>
    <row r="5" spans="1:20">
      <c r="A5" s="68"/>
      <c r="B5" s="69"/>
      <c r="C5" s="3"/>
      <c r="D5" s="19" t="s">
        <v>37</v>
      </c>
      <c r="E5" s="3">
        <f>E2*0.05</f>
        <v>687.10550000000012</v>
      </c>
      <c r="F5" s="3"/>
      <c r="G5" s="3" t="s">
        <v>15</v>
      </c>
      <c r="H5" s="3">
        <f>SUM(H2:H3)</f>
        <v>1151.1428571428571</v>
      </c>
      <c r="I5" s="4">
        <f>SUM(I2:I3)</f>
        <v>1119.0857142857144</v>
      </c>
      <c r="L5" s="64"/>
      <c r="M5" s="3" t="s">
        <v>50</v>
      </c>
      <c r="N5" s="4">
        <v>0.81286000000000003</v>
      </c>
    </row>
    <row r="6" spans="1:20">
      <c r="A6" s="68"/>
      <c r="B6" s="69"/>
      <c r="C6" s="3"/>
      <c r="D6" s="3"/>
      <c r="E6" s="3"/>
      <c r="F6" s="3"/>
      <c r="G6" s="3"/>
      <c r="H6" s="3"/>
      <c r="I6" s="4"/>
      <c r="L6" s="64"/>
      <c r="M6" s="3" t="s">
        <v>51</v>
      </c>
      <c r="N6" s="4">
        <v>0.75000999999999995</v>
      </c>
    </row>
    <row r="7" spans="1:20">
      <c r="A7" s="68"/>
      <c r="B7" s="69"/>
      <c r="C7" s="3"/>
      <c r="D7" s="3" t="s">
        <v>6</v>
      </c>
      <c r="E7" s="3">
        <v>11</v>
      </c>
      <c r="F7" s="3"/>
      <c r="G7" s="3"/>
      <c r="H7" s="3"/>
      <c r="I7" s="4"/>
      <c r="L7" s="64"/>
      <c r="M7" s="3" t="s">
        <v>52</v>
      </c>
      <c r="N7" s="4">
        <v>0.69858299999999995</v>
      </c>
    </row>
    <row r="8" spans="1:20" ht="15.75" thickBot="1">
      <c r="A8" s="70"/>
      <c r="B8" s="71"/>
      <c r="C8" s="5"/>
      <c r="D8" s="5" t="s">
        <v>9</v>
      </c>
      <c r="E8" s="5">
        <v>10</v>
      </c>
      <c r="F8" s="5"/>
      <c r="G8" s="5"/>
      <c r="H8" s="5"/>
      <c r="I8" s="6"/>
      <c r="L8" s="64"/>
      <c r="M8" s="3" t="s">
        <v>53</v>
      </c>
      <c r="N8" s="4">
        <v>0.62572000000000005</v>
      </c>
    </row>
    <row r="9" spans="1:20" ht="15.75" thickBot="1">
      <c r="L9" s="64"/>
      <c r="M9" s="3" t="s">
        <v>54</v>
      </c>
      <c r="N9" s="4">
        <v>0.50002999999999997</v>
      </c>
    </row>
    <row r="10" spans="1:20" ht="15.75" thickBot="1">
      <c r="A10" s="66" t="s">
        <v>30</v>
      </c>
      <c r="B10" s="67"/>
      <c r="C10" s="1"/>
      <c r="D10" s="1" t="s">
        <v>7</v>
      </c>
      <c r="E10" s="9">
        <v>13784.14</v>
      </c>
      <c r="F10" s="1">
        <v>13406.5</v>
      </c>
      <c r="G10" s="1" t="s">
        <v>8</v>
      </c>
      <c r="H10" s="1">
        <f>E10/14</f>
        <v>984.58142857142855</v>
      </c>
      <c r="I10" s="2">
        <f>F10/14</f>
        <v>957.60714285714289</v>
      </c>
      <c r="J10">
        <f t="shared" si="0"/>
        <v>26.974285714285656</v>
      </c>
      <c r="L10" s="65"/>
      <c r="M10" s="5" t="s">
        <v>48</v>
      </c>
      <c r="N10" s="6">
        <v>1</v>
      </c>
    </row>
    <row r="11" spans="1:20">
      <c r="A11" s="68"/>
      <c r="B11" s="69"/>
      <c r="C11" s="3"/>
      <c r="D11" s="3" t="s">
        <v>2</v>
      </c>
      <c r="E11" s="7">
        <v>2491.86</v>
      </c>
      <c r="F11" s="3">
        <v>2423.9</v>
      </c>
      <c r="G11" s="3" t="s">
        <v>4</v>
      </c>
      <c r="H11" s="3">
        <f>E11/14</f>
        <v>177.99</v>
      </c>
      <c r="I11" s="4">
        <f>F11/14</f>
        <v>173.1357142857143</v>
      </c>
      <c r="J11">
        <f t="shared" si="0"/>
        <v>4.8542857142857088</v>
      </c>
    </row>
    <row r="12" spans="1:20" ht="15.75" thickBot="1">
      <c r="A12" s="68"/>
      <c r="B12" s="69"/>
      <c r="C12" s="3"/>
      <c r="D12" s="3" t="s">
        <v>3</v>
      </c>
      <c r="E12" s="7">
        <f>SUM(E10:E11)</f>
        <v>16276</v>
      </c>
      <c r="F12" s="3">
        <f>SUM(F10:F11)</f>
        <v>15830.4</v>
      </c>
      <c r="G12" s="3" t="s">
        <v>5</v>
      </c>
      <c r="H12" s="3">
        <f>H10*0.05</f>
        <v>49.22907142857143</v>
      </c>
      <c r="I12" s="4">
        <f>I10*0.05</f>
        <v>47.88035714285715</v>
      </c>
      <c r="J12">
        <f t="shared" si="0"/>
        <v>1.34871428571428</v>
      </c>
      <c r="T12" t="s">
        <v>31</v>
      </c>
    </row>
    <row r="13" spans="1:20">
      <c r="A13" s="68"/>
      <c r="B13" s="69"/>
      <c r="C13" s="3"/>
      <c r="D13" s="3"/>
      <c r="E13" s="3">
        <f>E10*0.05</f>
        <v>689.20699999999999</v>
      </c>
      <c r="F13" s="3"/>
      <c r="G13" s="3" t="s">
        <v>15</v>
      </c>
      <c r="H13" s="3">
        <f>SUM(H10:H11)</f>
        <v>1162.5714285714284</v>
      </c>
      <c r="I13" s="4">
        <f>SUM(I10:I11)</f>
        <v>1130.7428571428572</v>
      </c>
      <c r="L13" s="63" t="s">
        <v>43</v>
      </c>
      <c r="M13" s="1" t="s">
        <v>42</v>
      </c>
      <c r="N13" s="1" t="s">
        <v>0</v>
      </c>
      <c r="O13" s="1" t="s">
        <v>45</v>
      </c>
      <c r="P13" s="1" t="s">
        <v>17</v>
      </c>
      <c r="Q13" s="42" t="s">
        <v>46</v>
      </c>
      <c r="R13" s="43" t="s">
        <v>47</v>
      </c>
      <c r="S13" s="19" t="s">
        <v>22</v>
      </c>
    </row>
    <row r="14" spans="1:20">
      <c r="A14" s="68"/>
      <c r="B14" s="69"/>
      <c r="C14" s="3"/>
      <c r="D14" s="3"/>
      <c r="E14" s="3"/>
      <c r="F14" s="3"/>
      <c r="G14" s="3"/>
      <c r="H14" s="3"/>
      <c r="I14" s="4"/>
      <c r="L14" s="64"/>
      <c r="M14" s="3" t="s">
        <v>34</v>
      </c>
      <c r="N14" s="3">
        <v>1019.9714285714286</v>
      </c>
      <c r="O14" s="3">
        <v>154.02857142857144</v>
      </c>
      <c r="P14" s="3">
        <v>50.998571428571438</v>
      </c>
      <c r="Q14" s="3">
        <v>16436</v>
      </c>
      <c r="R14" s="4">
        <v>713.98</v>
      </c>
    </row>
    <row r="15" spans="1:20">
      <c r="A15" s="68"/>
      <c r="B15" s="69"/>
      <c r="C15" s="3"/>
      <c r="D15" s="3" t="s">
        <v>6</v>
      </c>
      <c r="E15" s="3">
        <v>11</v>
      </c>
      <c r="F15" s="3"/>
      <c r="G15" s="3"/>
      <c r="H15" s="3"/>
      <c r="I15" s="4"/>
      <c r="L15" s="64"/>
      <c r="M15" s="3" t="s">
        <v>31</v>
      </c>
      <c r="N15" s="3">
        <v>998.88428571428562</v>
      </c>
      <c r="O15" s="3">
        <v>169.40142857142857</v>
      </c>
      <c r="P15" s="3">
        <v>49.944214285714281</v>
      </c>
      <c r="Q15" s="3">
        <v>16356</v>
      </c>
      <c r="R15" s="4">
        <v>699.21900000000005</v>
      </c>
    </row>
    <row r="16" spans="1:20" ht="15.75" thickBot="1">
      <c r="A16" s="70"/>
      <c r="B16" s="71"/>
      <c r="C16" s="5"/>
      <c r="D16" s="5" t="s">
        <v>9</v>
      </c>
      <c r="E16" s="5">
        <v>10</v>
      </c>
      <c r="F16" s="5"/>
      <c r="G16" s="5"/>
      <c r="H16" s="5"/>
      <c r="I16" s="6"/>
      <c r="L16" s="64"/>
      <c r="M16" s="3" t="s">
        <v>30</v>
      </c>
      <c r="N16" s="3">
        <v>984.58142857142855</v>
      </c>
      <c r="O16" s="3">
        <v>177.99</v>
      </c>
      <c r="P16" s="3">
        <v>49.22907142857143</v>
      </c>
      <c r="Q16" s="3">
        <v>16276</v>
      </c>
      <c r="R16" s="4">
        <v>689.20699999999999</v>
      </c>
    </row>
    <row r="17" spans="1:19" ht="15.75" thickBot="1">
      <c r="L17" s="64"/>
      <c r="M17" s="3" t="s">
        <v>35</v>
      </c>
      <c r="N17" s="3">
        <v>986.56785714285718</v>
      </c>
      <c r="O17" s="3">
        <v>170.28928571428574</v>
      </c>
      <c r="P17" s="3">
        <v>49.328392857142859</v>
      </c>
      <c r="Q17" s="3">
        <v>16196</v>
      </c>
      <c r="R17" s="4">
        <v>690.59750000000008</v>
      </c>
    </row>
    <row r="18" spans="1:19" ht="15.75" thickBot="1">
      <c r="A18" s="66" t="s">
        <v>31</v>
      </c>
      <c r="B18" s="67"/>
      <c r="C18" s="1"/>
      <c r="D18" s="1" t="s">
        <v>7</v>
      </c>
      <c r="E18" s="9">
        <v>13984.38</v>
      </c>
      <c r="F18" s="1">
        <v>13650.3</v>
      </c>
      <c r="G18" s="1" t="s">
        <v>8</v>
      </c>
      <c r="H18" s="1">
        <f>E18/14</f>
        <v>998.88428571428562</v>
      </c>
      <c r="I18" s="2">
        <f>F18/14</f>
        <v>975.02142857142849</v>
      </c>
      <c r="J18">
        <f t="shared" si="0"/>
        <v>23.862857142857138</v>
      </c>
      <c r="L18" s="65"/>
      <c r="M18" s="5" t="s">
        <v>29</v>
      </c>
      <c r="N18" s="5">
        <v>981.57928571428579</v>
      </c>
      <c r="O18" s="5">
        <v>169.56357142857141</v>
      </c>
      <c r="P18" s="5">
        <v>49.078964285714292</v>
      </c>
      <c r="Q18" s="5">
        <v>16116</v>
      </c>
      <c r="R18" s="6">
        <v>687.10550000000012</v>
      </c>
      <c r="S18" s="44">
        <f>SUM(Calculadora!F13:F15)/6</f>
        <v>191.85714285714286</v>
      </c>
    </row>
    <row r="19" spans="1:19">
      <c r="A19" s="68"/>
      <c r="B19" s="69"/>
      <c r="C19" s="3"/>
      <c r="D19" s="3" t="s">
        <v>2</v>
      </c>
      <c r="E19" s="7">
        <v>2371.62</v>
      </c>
      <c r="F19" s="3">
        <v>2314.71</v>
      </c>
      <c r="G19" s="3" t="s">
        <v>4</v>
      </c>
      <c r="H19" s="3">
        <f>E19/14</f>
        <v>169.40142857142857</v>
      </c>
      <c r="I19" s="4">
        <f>F19/14</f>
        <v>165.33642857142857</v>
      </c>
      <c r="J19">
        <f t="shared" si="0"/>
        <v>4.0649999999999977</v>
      </c>
    </row>
    <row r="20" spans="1:19">
      <c r="A20" s="68"/>
      <c r="B20" s="69"/>
      <c r="C20" s="3"/>
      <c r="D20" s="3" t="s">
        <v>3</v>
      </c>
      <c r="E20" s="7">
        <f>SUM(E18:E19)</f>
        <v>16356</v>
      </c>
      <c r="F20" s="3">
        <f>SUM(F18:F19)</f>
        <v>15965.009999999998</v>
      </c>
      <c r="G20" s="3" t="s">
        <v>5</v>
      </c>
      <c r="H20" s="3">
        <f>H18*0.05</f>
        <v>49.944214285714281</v>
      </c>
      <c r="I20" s="4">
        <f>I18*0.05</f>
        <v>48.751071428571429</v>
      </c>
      <c r="J20">
        <f t="shared" si="0"/>
        <v>1.1931428571428526</v>
      </c>
    </row>
    <row r="21" spans="1:19">
      <c r="A21" s="68"/>
      <c r="B21" s="69"/>
      <c r="C21" s="3"/>
      <c r="D21" s="3"/>
      <c r="E21" s="3">
        <f>E18*0.05</f>
        <v>699.21900000000005</v>
      </c>
      <c r="F21" s="3"/>
      <c r="G21" s="3" t="s">
        <v>15</v>
      </c>
      <c r="H21" s="3">
        <f>SUM(H18:H19)</f>
        <v>1168.2857142857142</v>
      </c>
      <c r="I21" s="4">
        <f>SUM(I18:I19)</f>
        <v>1140.357857142857</v>
      </c>
    </row>
    <row r="22" spans="1:19" ht="15.75" thickBot="1">
      <c r="A22" s="68"/>
      <c r="B22" s="69"/>
      <c r="C22" s="3"/>
      <c r="D22" s="3"/>
      <c r="E22" s="3"/>
      <c r="F22" s="3"/>
      <c r="G22" s="3"/>
      <c r="H22" s="3"/>
      <c r="I22" s="4"/>
    </row>
    <row r="23" spans="1:19">
      <c r="A23" s="68"/>
      <c r="B23" s="69"/>
      <c r="C23" s="3"/>
      <c r="D23" s="3" t="s">
        <v>6</v>
      </c>
      <c r="E23" s="3">
        <v>11</v>
      </c>
      <c r="F23" s="3"/>
      <c r="G23" s="3"/>
      <c r="H23" s="3"/>
      <c r="I23" s="4"/>
      <c r="L23" s="63" t="s">
        <v>44</v>
      </c>
      <c r="M23" s="1" t="s">
        <v>32</v>
      </c>
      <c r="N23" s="2" t="s">
        <v>33</v>
      </c>
    </row>
    <row r="24" spans="1:19" ht="15.75" thickBot="1">
      <c r="A24" s="70"/>
      <c r="B24" s="71"/>
      <c r="C24" s="5"/>
      <c r="D24" s="5" t="s">
        <v>9</v>
      </c>
      <c r="E24" s="5">
        <v>10</v>
      </c>
      <c r="F24" s="5"/>
      <c r="G24" s="5"/>
      <c r="H24" s="5"/>
      <c r="I24" s="6"/>
      <c r="L24" s="64"/>
      <c r="M24" s="3" t="s">
        <v>49</v>
      </c>
      <c r="N24" s="4">
        <v>0.87570999999999999</v>
      </c>
    </row>
    <row r="25" spans="1:19" ht="15.75" thickBot="1">
      <c r="L25" s="64"/>
      <c r="M25" s="3" t="s">
        <v>50</v>
      </c>
      <c r="N25" s="4">
        <v>0.81286000000000003</v>
      </c>
    </row>
    <row r="26" spans="1:19">
      <c r="A26" s="10"/>
      <c r="B26" s="1" t="s">
        <v>29</v>
      </c>
      <c r="C26" s="1" t="s">
        <v>35</v>
      </c>
      <c r="D26" s="1" t="s">
        <v>30</v>
      </c>
      <c r="E26" s="1" t="s">
        <v>31</v>
      </c>
      <c r="F26" s="1" t="s">
        <v>34</v>
      </c>
      <c r="G26" s="72" t="s">
        <v>36</v>
      </c>
      <c r="H26" s="73"/>
      <c r="I26" s="74"/>
      <c r="J26" s="3"/>
      <c r="L26" s="64"/>
      <c r="M26" s="3" t="s">
        <v>51</v>
      </c>
      <c r="N26" s="4">
        <v>0.75000999999999995</v>
      </c>
    </row>
    <row r="27" spans="1:19">
      <c r="A27" s="11" t="s">
        <v>23</v>
      </c>
      <c r="B27" s="12" t="e">
        <f>SUM(#REF!)+#REF!</f>
        <v>#REF!</v>
      </c>
      <c r="C27" s="12" t="e">
        <f>SUM(#REF!)+#REF!</f>
        <v>#REF!</v>
      </c>
      <c r="D27" s="12" t="e">
        <f>SUM(#REF!)+#REF!</f>
        <v>#REF!</v>
      </c>
      <c r="E27" s="12" t="e">
        <f>SUM(#REF!)+#REF!</f>
        <v>#REF!</v>
      </c>
      <c r="F27" s="12" t="e">
        <f>SUM(#REF!)+#REF!</f>
        <v>#REF!</v>
      </c>
      <c r="G27" s="75"/>
      <c r="H27" s="76"/>
      <c r="I27" s="77"/>
      <c r="J27" s="3"/>
      <c r="L27" s="64"/>
      <c r="M27" s="3" t="s">
        <v>52</v>
      </c>
      <c r="N27" s="4">
        <v>0.69858299999999995</v>
      </c>
    </row>
    <row r="28" spans="1:19">
      <c r="A28" s="11" t="s">
        <v>22</v>
      </c>
      <c r="B28" s="12" t="e">
        <f>SUM(#REF!)/6</f>
        <v>#REF!</v>
      </c>
      <c r="C28" s="3" t="e">
        <f>SUM(#REF!)/6</f>
        <v>#REF!</v>
      </c>
      <c r="D28" s="3" t="e">
        <f>SUM(#REF!)/6</f>
        <v>#REF!</v>
      </c>
      <c r="E28" s="3" t="e">
        <f>SUM(#REF!)/6</f>
        <v>#REF!</v>
      </c>
      <c r="F28" s="3" t="e">
        <f>SUM(#REF!)/6</f>
        <v>#REF!</v>
      </c>
      <c r="G28" s="75"/>
      <c r="H28" s="76"/>
      <c r="I28" s="77"/>
      <c r="J28" s="3"/>
      <c r="L28" s="64"/>
      <c r="M28" s="3" t="s">
        <v>53</v>
      </c>
      <c r="N28" s="4">
        <v>0.62572000000000005</v>
      </c>
    </row>
    <row r="29" spans="1:19" ht="30">
      <c r="A29" s="13" t="s">
        <v>24</v>
      </c>
      <c r="B29" s="12" t="e">
        <f>B27+B28</f>
        <v>#REF!</v>
      </c>
      <c r="C29" s="12" t="e">
        <f>C27+C28</f>
        <v>#REF!</v>
      </c>
      <c r="D29" s="12" t="e">
        <f>D27+D28</f>
        <v>#REF!</v>
      </c>
      <c r="E29" s="12" t="e">
        <f>E27+E28</f>
        <v>#REF!</v>
      </c>
      <c r="F29" s="12" t="e">
        <f>F27+F28</f>
        <v>#REF!</v>
      </c>
      <c r="G29" s="75"/>
      <c r="H29" s="76"/>
      <c r="I29" s="77"/>
      <c r="J29" s="3"/>
      <c r="L29" s="64"/>
      <c r="M29" s="3" t="s">
        <v>54</v>
      </c>
      <c r="N29" s="4">
        <v>0.50002999999999997</v>
      </c>
    </row>
    <row r="30" spans="1:19" ht="15.75" thickBot="1">
      <c r="A30" s="11"/>
      <c r="B30" s="3"/>
      <c r="C30" s="3"/>
      <c r="D30" s="3"/>
      <c r="E30" s="3"/>
      <c r="F30" s="3"/>
      <c r="G30" s="75"/>
      <c r="H30" s="76"/>
      <c r="I30" s="77"/>
      <c r="J30" s="3"/>
      <c r="L30" s="65"/>
      <c r="M30" s="5" t="s">
        <v>48</v>
      </c>
      <c r="N30" s="6">
        <v>0</v>
      </c>
    </row>
    <row r="31" spans="1:19">
      <c r="A31" s="11" t="s">
        <v>25</v>
      </c>
      <c r="B31" s="17">
        <v>1.6500000000000001E-2</v>
      </c>
      <c r="C31" s="14">
        <v>1.6500000000000001E-2</v>
      </c>
      <c r="D31" s="14">
        <v>1.6500000000000001E-2</v>
      </c>
      <c r="E31" s="14">
        <v>1.6500000000000001E-2</v>
      </c>
      <c r="F31" s="14">
        <v>1.6500000000000001E-2</v>
      </c>
      <c r="G31" s="75"/>
      <c r="H31" s="76"/>
      <c r="I31" s="77"/>
      <c r="J31" s="3"/>
    </row>
    <row r="32" spans="1:19" ht="15.75" thickBot="1">
      <c r="A32" s="15" t="s">
        <v>26</v>
      </c>
      <c r="B32" s="18">
        <v>4.82E-2</v>
      </c>
      <c r="C32" s="16">
        <v>4.82E-2</v>
      </c>
      <c r="D32" s="16">
        <v>4.82E-2</v>
      </c>
      <c r="E32" s="16">
        <v>4.82E-2</v>
      </c>
      <c r="F32" s="16">
        <v>4.82E-2</v>
      </c>
      <c r="G32" s="78"/>
      <c r="H32" s="79"/>
      <c r="I32" s="80"/>
      <c r="J32" s="3"/>
    </row>
    <row r="35" spans="1:10" ht="15.75" thickBot="1"/>
    <row r="36" spans="1:10">
      <c r="A36" s="66" t="s">
        <v>34</v>
      </c>
      <c r="B36" s="67"/>
      <c r="C36" s="1"/>
      <c r="D36" s="1" t="s">
        <v>7</v>
      </c>
      <c r="E36" s="9">
        <v>14279.6</v>
      </c>
      <c r="F36" s="1">
        <v>14084.23</v>
      </c>
      <c r="G36" s="1" t="s">
        <v>8</v>
      </c>
      <c r="H36" s="1">
        <f>E36/14</f>
        <v>1019.9714285714286</v>
      </c>
      <c r="I36" s="2">
        <f>F36/14</f>
        <v>1006.0164285714285</v>
      </c>
      <c r="J36">
        <f t="shared" ref="J36:J38" si="1">H36-I36</f>
        <v>13.955000000000155</v>
      </c>
    </row>
    <row r="37" spans="1:10">
      <c r="A37" s="68"/>
      <c r="B37" s="69"/>
      <c r="C37" s="3"/>
      <c r="D37" s="3" t="s">
        <v>2</v>
      </c>
      <c r="E37" s="7">
        <v>2156.4</v>
      </c>
      <c r="F37" s="3">
        <v>2127.4699999999998</v>
      </c>
      <c r="G37" s="3" t="s">
        <v>4</v>
      </c>
      <c r="H37" s="3">
        <f>E37/14</f>
        <v>154.02857142857144</v>
      </c>
      <c r="I37" s="4">
        <f>F37/14</f>
        <v>151.96214285714285</v>
      </c>
      <c r="J37">
        <f t="shared" si="1"/>
        <v>2.0664285714285882</v>
      </c>
    </row>
    <row r="38" spans="1:10">
      <c r="A38" s="68"/>
      <c r="B38" s="69"/>
      <c r="C38" s="3"/>
      <c r="D38" s="3" t="s">
        <v>3</v>
      </c>
      <c r="E38" s="7">
        <f>SUM(E36:E37)</f>
        <v>16436</v>
      </c>
      <c r="F38" s="3">
        <f>SUM(F36:F37)</f>
        <v>16211.699999999999</v>
      </c>
      <c r="G38" s="3" t="s">
        <v>5</v>
      </c>
      <c r="H38" s="3">
        <f>H36*0.05</f>
        <v>50.998571428571438</v>
      </c>
      <c r="I38" s="4">
        <f>I36*0.05</f>
        <v>50.300821428571425</v>
      </c>
      <c r="J38">
        <f t="shared" si="1"/>
        <v>0.69775000000001342</v>
      </c>
    </row>
    <row r="39" spans="1:10">
      <c r="A39" s="68"/>
      <c r="B39" s="69"/>
      <c r="C39" s="3"/>
      <c r="D39" s="3"/>
      <c r="E39" s="3">
        <f>E36*0.05</f>
        <v>713.98</v>
      </c>
      <c r="F39" s="3"/>
      <c r="G39" s="3" t="s">
        <v>15</v>
      </c>
      <c r="H39" s="3">
        <f>SUM(H36:H37)</f>
        <v>1174</v>
      </c>
      <c r="I39" s="4">
        <f>SUM(I36:I37)</f>
        <v>1157.9785714285713</v>
      </c>
    </row>
    <row r="40" spans="1:10">
      <c r="A40" s="68"/>
      <c r="B40" s="69"/>
      <c r="C40" s="3"/>
      <c r="D40" s="3"/>
      <c r="E40" s="3"/>
      <c r="F40" s="3"/>
      <c r="G40" s="3"/>
      <c r="H40" s="3"/>
      <c r="I40" s="4"/>
    </row>
    <row r="41" spans="1:10">
      <c r="A41" s="68"/>
      <c r="B41" s="69"/>
      <c r="C41" s="3"/>
      <c r="D41" s="3" t="s">
        <v>6</v>
      </c>
      <c r="E41" s="3">
        <v>11</v>
      </c>
      <c r="F41" s="3"/>
      <c r="G41" s="3"/>
      <c r="H41" s="3"/>
      <c r="I41" s="4"/>
    </row>
    <row r="42" spans="1:10" ht="15.75" thickBot="1">
      <c r="A42" s="70"/>
      <c r="B42" s="71"/>
      <c r="C42" s="5"/>
      <c r="D42" s="5" t="s">
        <v>9</v>
      </c>
      <c r="E42" s="5">
        <v>10</v>
      </c>
      <c r="F42" s="5"/>
      <c r="G42" s="5"/>
      <c r="H42" s="5"/>
      <c r="I42" s="6"/>
    </row>
    <row r="43" spans="1:10" ht="15.75" thickBot="1"/>
    <row r="44" spans="1:10">
      <c r="A44" s="66" t="s">
        <v>35</v>
      </c>
      <c r="B44" s="67"/>
      <c r="C44" s="1"/>
      <c r="D44" s="1" t="s">
        <v>7</v>
      </c>
      <c r="E44" s="9">
        <v>13811.95</v>
      </c>
      <c r="F44" s="1">
        <v>13431.04</v>
      </c>
      <c r="G44" s="1" t="s">
        <v>8</v>
      </c>
      <c r="H44" s="1">
        <f>E44/14</f>
        <v>986.56785714285718</v>
      </c>
      <c r="I44" s="2">
        <f>F44/14</f>
        <v>959.36</v>
      </c>
    </row>
    <row r="45" spans="1:10">
      <c r="A45" s="68"/>
      <c r="B45" s="69"/>
      <c r="C45" s="3"/>
      <c r="D45" s="3" t="s">
        <v>2</v>
      </c>
      <c r="E45" s="7">
        <v>2384.0500000000002</v>
      </c>
      <c r="F45" s="3">
        <v>2317.7600000000002</v>
      </c>
      <c r="G45" s="3" t="s">
        <v>4</v>
      </c>
      <c r="H45" s="3">
        <f>E45/14</f>
        <v>170.28928571428574</v>
      </c>
      <c r="I45" s="4">
        <f>F45/14</f>
        <v>165.55428571428573</v>
      </c>
    </row>
    <row r="46" spans="1:10">
      <c r="A46" s="68"/>
      <c r="B46" s="69"/>
      <c r="C46" s="3"/>
      <c r="D46" s="3" t="s">
        <v>3</v>
      </c>
      <c r="E46" s="7">
        <f>SUM(E44:E45)</f>
        <v>16196</v>
      </c>
      <c r="F46" s="3">
        <f>SUM(F44:F45)</f>
        <v>15748.800000000001</v>
      </c>
      <c r="G46" s="3" t="s">
        <v>5</v>
      </c>
      <c r="H46" s="3">
        <f>H44*0.05</f>
        <v>49.328392857142859</v>
      </c>
      <c r="I46" s="4">
        <f>I44*0.05</f>
        <v>47.968000000000004</v>
      </c>
    </row>
    <row r="47" spans="1:10">
      <c r="A47" s="68"/>
      <c r="B47" s="69"/>
      <c r="C47" s="3"/>
      <c r="D47" s="3"/>
      <c r="E47" s="3">
        <f>E44*0.05</f>
        <v>690.59750000000008</v>
      </c>
      <c r="F47" s="3"/>
      <c r="G47" s="3" t="s">
        <v>15</v>
      </c>
      <c r="H47" s="3">
        <f>SUM(H44:H45)</f>
        <v>1156.8571428571429</v>
      </c>
      <c r="I47" s="4">
        <f>SUM(I44:I45)</f>
        <v>1124.9142857142858</v>
      </c>
    </row>
    <row r="48" spans="1:10">
      <c r="A48" s="68"/>
      <c r="B48" s="69"/>
      <c r="C48" s="3"/>
      <c r="D48" s="3"/>
      <c r="E48" s="3"/>
      <c r="F48" s="3"/>
      <c r="G48" s="3"/>
      <c r="H48" s="3"/>
      <c r="I48" s="4"/>
    </row>
    <row r="49" spans="1:9">
      <c r="A49" s="68"/>
      <c r="B49" s="69"/>
      <c r="C49" s="3"/>
      <c r="D49" s="3" t="s">
        <v>6</v>
      </c>
      <c r="E49" s="3">
        <v>11</v>
      </c>
      <c r="F49" s="3"/>
      <c r="G49" s="3"/>
      <c r="H49" s="3"/>
      <c r="I49" s="4"/>
    </row>
    <row r="50" spans="1:9" ht="15.75" thickBot="1">
      <c r="A50" s="70"/>
      <c r="B50" s="71"/>
      <c r="C50" s="5"/>
      <c r="D50" s="5" t="s">
        <v>9</v>
      </c>
      <c r="E50" s="5">
        <v>10</v>
      </c>
      <c r="F50" s="5"/>
      <c r="G50" s="5"/>
      <c r="H50" s="5"/>
      <c r="I50" s="6"/>
    </row>
  </sheetData>
  <sortState ref="M4:N10">
    <sortCondition ref="M4:M10"/>
  </sortState>
  <mergeCells count="9">
    <mergeCell ref="L3:L10"/>
    <mergeCell ref="L13:L18"/>
    <mergeCell ref="A44:B50"/>
    <mergeCell ref="G26:I32"/>
    <mergeCell ref="A2:B8"/>
    <mergeCell ref="A10:B16"/>
    <mergeCell ref="A18:B24"/>
    <mergeCell ref="A36:B42"/>
    <mergeCell ref="L23:L30"/>
  </mergeCells>
  <pageMargins left="0.7" right="0.7" top="0.75" bottom="0.75" header="0.3" footer="0.3"/>
  <ignoredErrors>
    <ignoredError sqref="E4:F4" formulaRange="1"/>
    <ignoredError sqref="B2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</vt:lpstr>
      <vt:lpstr>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Jesús Salido Cordero</dc:creator>
  <cp:lastModifiedBy>Usuario</cp:lastModifiedBy>
  <dcterms:created xsi:type="dcterms:W3CDTF">2024-04-16T10:24:36Z</dcterms:created>
  <dcterms:modified xsi:type="dcterms:W3CDTF">2024-06-14T14:55:55Z</dcterms:modified>
</cp:coreProperties>
</file>